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287E1382-1FF5-401B-9780-5281B38EF6D6}" xr6:coauthVersionLast="47" xr6:coauthVersionMax="47" xr10:uidLastSave="{00000000-0000-0000-0000-000000000000}"/>
  <bookViews>
    <workbookView xWindow="15105" yWindow="3750" windowWidth="19875" windowHeight="17130" tabRatio="832" firstSheet="1" activeTab="1" xr2:uid="{00000000-000D-0000-FFFF-FFFF00000000}"/>
  </bookViews>
  <sheets>
    <sheet name="Анализ " sheetId="32" state="hidden" r:id="rId1"/>
    <sheet name="Расчет" sheetId="34" r:id="rId2"/>
  </sheets>
  <definedNames>
    <definedName name="_xlnm.Print_Area" localSheetId="0">'Анализ '!$A$1:$N$5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42" i="34" l="1"/>
  <c r="L40" i="34"/>
  <c r="L39" i="34"/>
  <c r="I13" i="34" l="1"/>
  <c r="E39" i="34" l="1"/>
  <c r="E40" i="34" s="1"/>
  <c r="D39" i="34"/>
  <c r="D40" i="34" s="1"/>
  <c r="C39" i="34"/>
  <c r="E35" i="34"/>
  <c r="E37" i="34" s="1"/>
  <c r="D35" i="34"/>
  <c r="D37" i="34" s="1"/>
  <c r="G37" i="34" s="1"/>
  <c r="C35" i="34"/>
  <c r="C37" i="34" s="1"/>
  <c r="I34" i="34"/>
  <c r="L34" i="34" s="1"/>
  <c r="H34" i="34"/>
  <c r="G34" i="34"/>
  <c r="F34" i="34"/>
  <c r="E28" i="34"/>
  <c r="E30" i="34" s="1"/>
  <c r="H30" i="34" s="1"/>
  <c r="D28" i="34"/>
  <c r="D30" i="34" s="1"/>
  <c r="G30" i="34" s="1"/>
  <c r="C28" i="34"/>
  <c r="C30" i="34" s="1"/>
  <c r="I27" i="34"/>
  <c r="L27" i="34" s="1"/>
  <c r="L30" i="34" s="1"/>
  <c r="H27" i="34"/>
  <c r="G27" i="34"/>
  <c r="F27" i="34"/>
  <c r="E21" i="34"/>
  <c r="E23" i="34" s="1"/>
  <c r="D21" i="34"/>
  <c r="D23" i="34" s="1"/>
  <c r="G23" i="34" s="1"/>
  <c r="C21" i="34"/>
  <c r="C23" i="34" s="1"/>
  <c r="F23" i="34" s="1"/>
  <c r="I20" i="34"/>
  <c r="L20" i="34" s="1"/>
  <c r="L23" i="34" s="1"/>
  <c r="H20" i="34"/>
  <c r="G20" i="34"/>
  <c r="F20" i="34"/>
  <c r="E14" i="34"/>
  <c r="D14" i="34"/>
  <c r="G14" i="34" s="1"/>
  <c r="C14" i="34"/>
  <c r="L13" i="34"/>
  <c r="L16" i="34" s="1"/>
  <c r="H13" i="34"/>
  <c r="G13" i="34"/>
  <c r="F13" i="34"/>
  <c r="K9" i="32"/>
  <c r="L9" i="32" s="1"/>
  <c r="H9" i="32"/>
  <c r="I9" i="32" s="1"/>
  <c r="E9" i="32"/>
  <c r="C40" i="34" l="1"/>
  <c r="C42" i="34"/>
  <c r="C16" i="34"/>
  <c r="F14" i="34"/>
  <c r="E16" i="34"/>
  <c r="H14" i="34"/>
  <c r="D16" i="34"/>
  <c r="J30" i="34"/>
  <c r="I37" i="34"/>
  <c r="F37" i="34"/>
  <c r="L37" i="34"/>
  <c r="J37" i="34" s="1"/>
  <c r="H37" i="34"/>
  <c r="K37" i="34"/>
  <c r="K23" i="34"/>
  <c r="H23" i="34"/>
  <c r="I30" i="34"/>
  <c r="F30" i="34"/>
  <c r="K30" i="34"/>
  <c r="J23" i="34"/>
  <c r="I23" i="34"/>
  <c r="P9" i="32"/>
  <c r="F9" i="32"/>
  <c r="F16" i="34" l="1"/>
  <c r="D42" i="34"/>
  <c r="K16" i="34"/>
  <c r="H16" i="34"/>
  <c r="E42" i="34"/>
  <c r="J16" i="34"/>
  <c r="I16" i="34"/>
  <c r="G16" i="34"/>
  <c r="K39" i="34"/>
  <c r="J39" i="34"/>
  <c r="I39" i="34"/>
  <c r="Q9" i="32"/>
  <c r="O9" i="32"/>
  <c r="N9" i="32"/>
  <c r="M9" i="32"/>
  <c r="I40" i="34" l="1"/>
  <c r="K42" i="34"/>
  <c r="E8" i="32"/>
  <c r="P8" i="32" s="1"/>
  <c r="K5" i="32"/>
  <c r="L5" i="32" s="1"/>
  <c r="H5" i="32"/>
  <c r="I5" i="32" s="1"/>
  <c r="E5" i="32"/>
  <c r="F5" i="32" s="1"/>
  <c r="L8" i="32"/>
  <c r="I8" i="32"/>
  <c r="P7" i="32"/>
  <c r="L7" i="32"/>
  <c r="I7" i="32"/>
  <c r="F7" i="32"/>
  <c r="K6" i="32"/>
  <c r="L6" i="32" s="1"/>
  <c r="H6" i="32"/>
  <c r="I6" i="32" s="1"/>
  <c r="E6" i="32"/>
  <c r="J42" i="34" l="1"/>
  <c r="I42" i="34"/>
  <c r="P5" i="32"/>
  <c r="O5" i="32"/>
  <c r="Q5" i="32"/>
  <c r="P6" i="32"/>
  <c r="M5" i="32"/>
  <c r="Q7" i="32"/>
  <c r="N8" i="32"/>
  <c r="N7" i="32"/>
  <c r="O8" i="32"/>
  <c r="N5" i="32"/>
  <c r="O7" i="32"/>
  <c r="F6" i="32"/>
  <c r="M8" i="32"/>
  <c r="Q8" i="32"/>
  <c r="M7" i="32"/>
  <c r="Q6" i="32" l="1"/>
  <c r="M6" i="32"/>
  <c r="N6" i="32"/>
  <c r="O6" i="32"/>
</calcChain>
</file>

<file path=xl/sharedStrings.xml><?xml version="1.0" encoding="utf-8"?>
<sst xmlns="http://schemas.openxmlformats.org/spreadsheetml/2006/main" count="117" uniqueCount="70">
  <si>
    <t>Ссылка на ресурс</t>
  </si>
  <si>
    <t>№ пп</t>
  </si>
  <si>
    <t>Анализ рыночной стоимости расходных материалов</t>
  </si>
  <si>
    <t>Наименование</t>
  </si>
  <si>
    <t>Единица измерения</t>
  </si>
  <si>
    <t>шт</t>
  </si>
  <si>
    <t>Цена1
с НДС</t>
  </si>
  <si>
    <t>Цена1
без НДС</t>
  </si>
  <si>
    <t>Цена2
с НДС</t>
  </si>
  <si>
    <t>Цена2
без НДС</t>
  </si>
  <si>
    <t>Цена3
с НДС</t>
  </si>
  <si>
    <t>Цена3
без НДС</t>
  </si>
  <si>
    <t>Средняя цена, без НДС</t>
  </si>
  <si>
    <t>Ценовая группа (наименьшая цена без НДС + 25%)</t>
  </si>
  <si>
    <t>Минимальная цена, без НДС</t>
  </si>
  <si>
    <t>л</t>
  </si>
  <si>
    <t>Минимальная цена, с НДС</t>
  </si>
  <si>
    <t>https://www.simclean.ru/products/veiro-professional-premium-t308-tualetnaya-bumaga-v-malykh-rulonakh-belaya-dvukhsloynaya-48-rulonov-/</t>
  </si>
  <si>
    <t>http://www.tk-sbt.ru/goods/405156/</t>
  </si>
  <si>
    <t>https://dez-optima.ru/catalog/gigienicheskaya_produktsiya/tualetnaya_bumaga/tualetnaya_bumaga_v_standartnykh_rulonakh_veiro_professional_premium_2_sl_25_m_belaya/</t>
  </si>
  <si>
    <t>соотв 25%</t>
  </si>
  <si>
    <t>Бумага туалетная 25м, VEIRO Professional Premium, КОМПЛЕКТ 48шт., 2-сл, (дисп. 601826) T308 – купить в Москве оптом и в розницу | Квик-Офис (kvik.ru)</t>
  </si>
  <si>
    <t>https://plastikko.ru/5562?ysclid=m0kozw9cj95197996</t>
  </si>
  <si>
    <t>https://lider-gk24.ru/product/20-03041</t>
  </si>
  <si>
    <t>https://moscow.petrovich.ru/product/799082/?utm_source=yandex&amp;utm_medium=cpc&amp;utm_campaign=MSK|Performance|New|Santekhnika|110121663&amp;utm_content=gid|5462228025|pos|premium3|src|none|dvc|desktop|ad|1844970697407912564&amp;utm_term=52281786464|---autotargeting|reg|%D0%9C%D0%BE%D1%81%D0%BA%D0%B2%D0%B0&amp;utm_id=yandex_110121663&amp;yclid=9675754447713337343</t>
  </si>
  <si>
    <t>https://www.komus.ru/katalog/khozyajstvennye-tovary/bumazhnye-polotentsa/polotentsa-professionalnye/polotentsa-bumazhnye-listovye-tork-120108-universal-h3-zz-slozheniya-1-slojnye-20-pachek-po-250-listov/p/52333/?ysclid=m0oy0cpqno730669418&amp;utm_referrer=https%3A%2F%2Fyandex.ru%2F</t>
  </si>
  <si>
    <t>https://www.chipdip.ru/product0/8012457201</t>
  </si>
  <si>
    <t>https://attacher.ru/product/osvezhitel-vozduxa-lis--morskoj-127474</t>
  </si>
  <si>
    <t>https://www.ofsi.ru/product/osvezhitel_vozdukha_lis_morskoy_priboy_300_ml.html</t>
  </si>
  <si>
    <t>https://gipermix.ru/catalog/bytovaya-khimiya-i-predmety/osvezhiteli-vozdukha/sprei-aerozoli/osvezhitel_vozdukha_lis_morskoy_priboy_300ml/?offer=1670974</t>
  </si>
  <si>
    <t>Жидкое мыло с перламутром Секреты Чистоты 5 л 1/1 пэт белое (или эквивалент по уровню pH)</t>
  </si>
  <si>
    <t>Полотенца бумажные листовые Tork 120108 Universal H3 ZZ-сложения 1-слойные по 250 листов в 1 упаковке (или эквивалент по белизне, типу сложения, размеру листа)</t>
  </si>
  <si>
    <t>Туалетная бумага Veiro Professional Premium T308 25 м двухслойная (или эквивалент по длине, диспенсерной системе)</t>
  </si>
  <si>
    <t>Освежитель воздуха lis морской прибой 300 мл (или эквивалент по уровню рН и % содержанию нПАВ; поглотитель запаха)</t>
  </si>
  <si>
    <t>Стикер для очищения унитаза Domestos (3 штуки в упаковке) (624284) (или эквивалент по уровню рН и % содержанию нПАВ; поглотитель запаха)</t>
  </si>
  <si>
    <t>https://medandmore.ru/catalog/bytovaya_khimiya/chistyashchie_sredstva/sredstva_dlya_vannoy_i_tualeta/57654/</t>
  </si>
  <si>
    <t>https://www.brauberg-rus.ru/osvezhitel_ochistitel_dlya_unitaza_pissuara_komplekt_3_sht_h_10_g_domestos_attax_morskaya_svezhest_stiker/</t>
  </si>
  <si>
    <t>https://www.vseinstrumenti.ru/product/osvezhitel-ochistitel-domestos-attax-morskaya-svezhest-komplekt-stikerov-3sht-h10g-601239-1183044/?ysclid=m0oywa2e46743434083</t>
  </si>
  <si>
    <t>Категории</t>
  </si>
  <si>
    <t>Ед.измерения</t>
  </si>
  <si>
    <t>Цены поставщиков</t>
  </si>
  <si>
    <t>Средняя цена за единицу</t>
  </si>
  <si>
    <t>Контроль сопоставимости финансовых условий</t>
  </si>
  <si>
    <t>Начальная (максимальная) цена расходных материалов с учетом НДС (20%)</t>
  </si>
  <si>
    <t>Сведения о цене на аналогичные (сопоставимые) товары, содержащиеся в ЕАИСТ и АИС "Портал поставщиков"</t>
  </si>
  <si>
    <t>Коэффициент вариации</t>
  </si>
  <si>
    <t>Различия между максимальной и мнинимальной ценой (в %)</t>
  </si>
  <si>
    <t>Наименование поставщиков</t>
  </si>
  <si>
    <t>КП1</t>
  </si>
  <si>
    <t>КП2</t>
  </si>
  <si>
    <t>КП3</t>
  </si>
  <si>
    <t>X</t>
  </si>
  <si>
    <t>Наименование товара, технические характеристики</t>
  </si>
  <si>
    <t>Количество единиц товара</t>
  </si>
  <si>
    <t>Модель, производитель</t>
  </si>
  <si>
    <t>-</t>
  </si>
  <si>
    <t>Итого стоимость товара без учета налога на добавленную стоимость</t>
  </si>
  <si>
    <t>Сумма налога на добавленную стоимость (рублей)</t>
  </si>
  <si>
    <t>Ставка налога на добавленную (процентов)</t>
  </si>
  <si>
    <t>Итого стоимость товара с учетом налога на добавленную стоимость</t>
  </si>
  <si>
    <t>рулон</t>
  </si>
  <si>
    <t>Итого начальная (максимальная) цена расходных материалов  (цена лота), начальная цена единицы товара, начальная сумма цен единиц товара без учета налога на добавленную стоимость</t>
  </si>
  <si>
    <t>Ставка налога на добавленную стоимость (процентов)</t>
  </si>
  <si>
    <t>Итого начальная (максимальная) цена расходных материалов  (цена лота), начальная цена единицы товара, начальная сумма цен единиц товара с учетом налога на добавленную стоимость</t>
  </si>
  <si>
    <t>Дата сбора данных</t>
  </si>
  <si>
    <t>Срок действия цен</t>
  </si>
  <si>
    <t xml:space="preserve">Туалетная бумага Veiro Professional Premium T308 (или эквивалент) 25 м двухслойная </t>
  </si>
  <si>
    <t xml:space="preserve">
Наименование закупки: Оказание услуг по уборке и содержанию территории Кинопарка зона № 1,2,3,4,5
Способ определения поставщика (подрядчика, исполнителя): Запрос предложений </t>
  </si>
  <si>
    <t> Расчет стоимости расходных материалов, используемых для оказания услуг</t>
  </si>
  <si>
    <t>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</si>
</sst>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000"/>
    <numFmt numFmtId="165" formatCode="#,##0.00&quot;р.&quot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6" fillId="0" borderId="0" applyNumberFormat="0" applyFill="0" applyBorder="0" applyAlignment="0" applyProtection="0"/>
    <xf numFmtId="0" fontId="3" fillId="0" borderId="0"/>
    <xf numFmtId="0" fontId="14" fillId="3" borderId="0" applyNumberFormat="0" applyBorder="0" applyAlignment="0" applyProtection="0"/>
    <xf numFmtId="0" fontId="2" fillId="0" borderId="0"/>
    <xf numFmtId="0" fontId="17" fillId="0" borderId="0"/>
    <xf numFmtId="0" fontId="1" fillId="0" borderId="0"/>
  </cellStyleXfs>
  <cellXfs count="79">
    <xf numFmtId="0" fontId="0" fillId="0" borderId="0" xfId="0"/>
    <xf numFmtId="4" fontId="4" fillId="0" borderId="0" xfId="0" applyNumberFormat="1" applyFont="1" applyAlignment="1">
      <alignment horizontal="left" vertical="top"/>
    </xf>
    <xf numFmtId="4" fontId="7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0" fontId="6" fillId="0" borderId="1" xfId="1" applyBorder="1" applyAlignment="1">
      <alignment horizontal="center" vertical="center" wrapText="1"/>
    </xf>
    <xf numFmtId="0" fontId="6" fillId="0" borderId="1" xfId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4" fillId="3" borderId="0" xfId="3" applyAlignment="1">
      <alignment horizontal="center"/>
    </xf>
    <xf numFmtId="4" fontId="7" fillId="4" borderId="1" xfId="0" applyNumberFormat="1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4" fontId="7" fillId="4" borderId="1" xfId="0" applyNumberFormat="1" applyFont="1" applyFill="1" applyBorder="1" applyAlignment="1">
      <alignment horizontal="left" vertical="center" wrapText="1"/>
    </xf>
    <xf numFmtId="0" fontId="6" fillId="0" borderId="1" xfId="1" applyBorder="1" applyAlignment="1">
      <alignment wrapText="1"/>
    </xf>
    <xf numFmtId="4" fontId="8" fillId="5" borderId="1" xfId="0" applyNumberFormat="1" applyFont="1" applyFill="1" applyBorder="1" applyAlignment="1">
      <alignment horizontal="center" vertical="center" wrapText="1"/>
    </xf>
    <xf numFmtId="0" fontId="16" fillId="0" borderId="0" xfId="4" applyFont="1"/>
    <xf numFmtId="0" fontId="16" fillId="0" borderId="0" xfId="4" applyFont="1" applyAlignment="1">
      <alignment horizontal="left" vertical="center" indent="4"/>
    </xf>
    <xf numFmtId="0" fontId="16" fillId="0" borderId="0" xfId="4" applyFont="1" applyAlignment="1">
      <alignment vertical="top" wrapText="1"/>
    </xf>
    <xf numFmtId="0" fontId="16" fillId="0" borderId="1" xfId="4" applyFont="1" applyBorder="1" applyAlignment="1">
      <alignment horizontal="center" vertical="center" wrapText="1"/>
    </xf>
    <xf numFmtId="0" fontId="16" fillId="0" borderId="1" xfId="4" applyFont="1" applyBorder="1" applyAlignment="1">
      <alignment vertical="center" wrapText="1"/>
    </xf>
    <xf numFmtId="0" fontId="16" fillId="6" borderId="1" xfId="4" applyFont="1" applyFill="1" applyBorder="1" applyAlignment="1">
      <alignment vertical="center" wrapText="1"/>
    </xf>
    <xf numFmtId="0" fontId="16" fillId="0" borderId="1" xfId="4" applyFont="1" applyBorder="1" applyAlignment="1">
      <alignment vertical="center"/>
    </xf>
    <xf numFmtId="0" fontId="15" fillId="0" borderId="0" xfId="4" applyFont="1" applyAlignment="1">
      <alignment vertical="center" wrapText="1"/>
    </xf>
    <xf numFmtId="0" fontId="16" fillId="0" borderId="0" xfId="4" applyFont="1" applyFill="1"/>
    <xf numFmtId="0" fontId="16" fillId="0" borderId="0" xfId="4" applyFont="1" applyFill="1" applyAlignment="1">
      <alignment vertical="top" wrapText="1"/>
    </xf>
    <xf numFmtId="0" fontId="16" fillId="0" borderId="5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 wrapText="1"/>
    </xf>
    <xf numFmtId="0" fontId="15" fillId="0" borderId="1" xfId="4" applyFont="1" applyFill="1" applyBorder="1" applyAlignment="1">
      <alignment horizontal="center" vertical="center" wrapText="1"/>
    </xf>
    <xf numFmtId="0" fontId="15" fillId="0" borderId="6" xfId="4" applyFont="1" applyFill="1" applyBorder="1" applyAlignment="1">
      <alignment horizontal="center" vertical="center" wrapText="1"/>
    </xf>
    <xf numFmtId="0" fontId="16" fillId="0" borderId="1" xfId="4" applyFont="1" applyFill="1" applyBorder="1" applyAlignment="1">
      <alignment vertical="top" wrapText="1"/>
    </xf>
    <xf numFmtId="0" fontId="16" fillId="0" borderId="7" xfId="4" applyFont="1" applyFill="1" applyBorder="1" applyAlignment="1">
      <alignment horizontal="center" vertical="top" wrapText="1"/>
    </xf>
    <xf numFmtId="0" fontId="16" fillId="0" borderId="7" xfId="4" applyFont="1" applyFill="1" applyBorder="1" applyAlignment="1">
      <alignment horizontal="center" vertical="center" wrapText="1"/>
    </xf>
    <xf numFmtId="2" fontId="16" fillId="0" borderId="1" xfId="4" applyNumberFormat="1" applyFont="1" applyFill="1" applyBorder="1" applyAlignment="1">
      <alignment horizontal="center" vertical="center" wrapText="1"/>
    </xf>
    <xf numFmtId="4" fontId="16" fillId="0" borderId="1" xfId="4" applyNumberFormat="1" applyFont="1" applyFill="1" applyBorder="1" applyAlignment="1">
      <alignment horizontal="center" vertical="center" wrapText="1"/>
    </xf>
    <xf numFmtId="164" fontId="16" fillId="0" borderId="1" xfId="4" applyNumberFormat="1" applyFont="1" applyFill="1" applyBorder="1" applyAlignment="1">
      <alignment horizontal="center" vertical="center" wrapText="1"/>
    </xf>
    <xf numFmtId="9" fontId="16" fillId="0" borderId="1" xfId="4" applyNumberFormat="1" applyFont="1" applyFill="1" applyBorder="1" applyAlignment="1">
      <alignment horizontal="center" vertical="center" wrapText="1"/>
    </xf>
    <xf numFmtId="0" fontId="15" fillId="0" borderId="7" xfId="4" applyFont="1" applyFill="1" applyBorder="1" applyAlignment="1">
      <alignment horizontal="center" vertical="top" wrapText="1"/>
    </xf>
    <xf numFmtId="0" fontId="16" fillId="0" borderId="7" xfId="4" applyFont="1" applyFill="1" applyBorder="1" applyAlignment="1">
      <alignment vertical="top" wrapText="1"/>
    </xf>
    <xf numFmtId="9" fontId="16" fillId="0" borderId="7" xfId="4" applyNumberFormat="1" applyFont="1" applyFill="1" applyBorder="1" applyAlignment="1">
      <alignment horizontal="center" vertical="center" wrapText="1"/>
    </xf>
    <xf numFmtId="14" fontId="16" fillId="0" borderId="1" xfId="4" applyNumberFormat="1" applyFont="1" applyFill="1" applyBorder="1" applyAlignment="1">
      <alignment horizontal="center"/>
    </xf>
    <xf numFmtId="0" fontId="16" fillId="0" borderId="1" xfId="4" applyFont="1" applyFill="1" applyBorder="1"/>
    <xf numFmtId="0" fontId="15" fillId="0" borderId="0" xfId="4" applyFont="1" applyFill="1" applyAlignment="1">
      <alignment vertical="center" wrapText="1"/>
    </xf>
    <xf numFmtId="0" fontId="15" fillId="0" borderId="0" xfId="4" applyFont="1" applyFill="1" applyAlignment="1">
      <alignment vertical="center"/>
    </xf>
    <xf numFmtId="4" fontId="18" fillId="0" borderId="1" xfId="4" applyNumberFormat="1" applyFont="1" applyFill="1" applyBorder="1" applyAlignment="1">
      <alignment horizontal="center" vertical="center" wrapText="1"/>
    </xf>
    <xf numFmtId="0" fontId="15" fillId="0" borderId="0" xfId="4" applyFont="1" applyAlignment="1">
      <alignment horizontal="center" vertical="center" wrapText="1"/>
    </xf>
    <xf numFmtId="0" fontId="16" fillId="0" borderId="0" xfId="4" applyFont="1" applyAlignment="1">
      <alignment horizontal="left" vertical="center" wrapText="1"/>
    </xf>
    <xf numFmtId="0" fontId="16" fillId="0" borderId="0" xfId="4" applyFont="1" applyAlignment="1">
      <alignment horizontal="left" vertical="center"/>
    </xf>
    <xf numFmtId="0" fontId="16" fillId="6" borderId="2" xfId="4" applyFont="1" applyFill="1" applyBorder="1" applyAlignment="1">
      <alignment horizontal="center" vertical="center" wrapText="1"/>
    </xf>
    <xf numFmtId="0" fontId="16" fillId="6" borderId="8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16" fillId="0" borderId="5" xfId="4" applyFont="1" applyFill="1" applyBorder="1" applyAlignment="1">
      <alignment horizontal="center" vertical="center" wrapText="1"/>
    </xf>
    <xf numFmtId="0" fontId="16" fillId="0" borderId="9" xfId="4" applyFont="1" applyFill="1" applyBorder="1" applyAlignment="1">
      <alignment horizontal="center" vertical="center" wrapText="1"/>
    </xf>
    <xf numFmtId="0" fontId="16" fillId="0" borderId="10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0" fontId="16" fillId="0" borderId="2" xfId="4" applyFont="1" applyBorder="1" applyAlignment="1">
      <alignment horizontal="center" vertical="center" wrapText="1"/>
    </xf>
    <xf numFmtId="0" fontId="16" fillId="0" borderId="13" xfId="4" applyFont="1" applyBorder="1" applyAlignment="1">
      <alignment horizontal="center" vertical="center" wrapText="1"/>
    </xf>
    <xf numFmtId="0" fontId="16" fillId="0" borderId="8" xfId="4" applyFont="1" applyBorder="1" applyAlignment="1">
      <alignment horizontal="center" vertical="center" wrapText="1"/>
    </xf>
    <xf numFmtId="0" fontId="15" fillId="0" borderId="6" xfId="4" applyFont="1" applyFill="1" applyBorder="1" applyAlignment="1">
      <alignment horizontal="center" vertical="center" wrapText="1"/>
    </xf>
    <xf numFmtId="0" fontId="15" fillId="0" borderId="12" xfId="4" applyFont="1" applyFill="1" applyBorder="1" applyAlignment="1">
      <alignment horizontal="center" vertical="center" wrapText="1"/>
    </xf>
    <xf numFmtId="0" fontId="15" fillId="0" borderId="7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top" wrapText="1"/>
    </xf>
    <xf numFmtId="0" fontId="16" fillId="0" borderId="12" xfId="4" applyFont="1" applyFill="1" applyBorder="1" applyAlignment="1">
      <alignment horizontal="center" vertical="top" wrapText="1"/>
    </xf>
    <xf numFmtId="0" fontId="16" fillId="0" borderId="7" xfId="4" applyFont="1" applyFill="1" applyBorder="1" applyAlignment="1">
      <alignment horizontal="center" vertical="top" wrapText="1"/>
    </xf>
    <xf numFmtId="0" fontId="16" fillId="0" borderId="12" xfId="4" applyFont="1" applyFill="1" applyBorder="1" applyAlignment="1">
      <alignment horizontal="center" vertical="center" wrapText="1"/>
    </xf>
    <xf numFmtId="0" fontId="16" fillId="0" borderId="4" xfId="4" applyFont="1" applyBorder="1" applyAlignment="1">
      <alignment horizontal="left" vertical="center" wrapText="1"/>
    </xf>
    <xf numFmtId="165" fontId="16" fillId="0" borderId="0" xfId="5" applyNumberFormat="1" applyFont="1" applyAlignment="1">
      <alignment horizontal="left" vertical="center"/>
    </xf>
  </cellXfs>
  <cellStyles count="7">
    <cellStyle name="Excel Built-in Normal" xfId="5" xr:uid="{00000000-0005-0000-0000-000000000000}"/>
    <cellStyle name="Гиперссылка" xfId="1" builtinId="8"/>
    <cellStyle name="Обычный" xfId="0" builtinId="0"/>
    <cellStyle name="Обычный 2" xfId="2" xr:uid="{00000000-0005-0000-0000-000003000000}"/>
    <cellStyle name="Обычный 2 2" xfId="6" xr:uid="{00000000-0005-0000-0000-000004000000}"/>
    <cellStyle name="Обычный 3" xfId="4" xr:uid="{00000000-0005-0000-0000-000005000000}"/>
    <cellStyle name="Хороший" xfId="3" builtinId="26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komus.ru/katalog/khozyajstvennye-tovary/bumazhnye-polotentsa/polotentsa-professionalnye/polotentsa-bumazhnye-listovye-tork-120108-universal-h3-zz-slozheniya-1-slojnye-20-pachek-po-250-listov/p/52333/?ysclid=m0oy0cpqno730669418&amp;utm_referrer=https%3A%2F%2Fyandex.ru%2F" TargetMode="External"/><Relationship Id="rId13" Type="http://schemas.openxmlformats.org/officeDocument/2006/relationships/hyperlink" Target="https://medandmore.ru/catalog/bytovaya_khimiya/chistyashchie_sredstva/sredstva_dlya_vannoy_i_tualeta/57654/" TargetMode="External"/><Relationship Id="rId3" Type="http://schemas.openxmlformats.org/officeDocument/2006/relationships/hyperlink" Target="http://www.tk-sbt.ru/goods/405156/" TargetMode="External"/><Relationship Id="rId7" Type="http://schemas.openxmlformats.org/officeDocument/2006/relationships/hyperlink" Target="https://www.kvik.ru/catalog/novoe-s/tualetnaya-bumaga-professionalnaya_1/bumaga-tualetnaya-25m-veiro-professional-premium-komplekt-48sht-2-sl-disp-601826-t308?ysclid=m0ko0lyr81812671377" TargetMode="External"/><Relationship Id="rId12" Type="http://schemas.openxmlformats.org/officeDocument/2006/relationships/hyperlink" Target="https://gipermix.ru/catalog/bytovaya-khimiya-i-predmety/osvezhiteli-vozdukha/sprei-aerozoli/osvezhitel_vozdukha_lis_morskoy_priboy_300ml/?offer=1670974" TargetMode="External"/><Relationship Id="rId2" Type="http://schemas.openxmlformats.org/officeDocument/2006/relationships/hyperlink" Target="https://lider-gk24.ru/product/20-03041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s://moscow.petrovich.ru/product/799082/?utm_source=yandex&amp;utm_medium=cpc&amp;utm_campaign=MSK|Performance|New|Santekhnika|110121663&amp;utm_content=gid|5462228025|pos|premium3|src|none|dvc|desktop|ad|1844970697407912564&amp;utm_term=52281786464|---autotargeting|reg|%D0%9C%D0%BE%D1%81%D0%BA%D0%B2%D0%B0&amp;utm_id=yandex_110121663&amp;yclid=9675754447713337343" TargetMode="External"/><Relationship Id="rId6" Type="http://schemas.openxmlformats.org/officeDocument/2006/relationships/hyperlink" Target="https://www.simclean.ru/products/veiro-professional-premium-t308-tualetnaya-bumaga-v-malykh-rulonakh-belaya-dvukhsloynaya-48-rulonov-/" TargetMode="External"/><Relationship Id="rId11" Type="http://schemas.openxmlformats.org/officeDocument/2006/relationships/hyperlink" Target="https://www.ofsi.ru/product/osvezhitel_vozdukha_lis_morskoy_priboy_300_ml.html" TargetMode="External"/><Relationship Id="rId5" Type="http://schemas.openxmlformats.org/officeDocument/2006/relationships/hyperlink" Target="https://dez-optima.ru/catalog/gigienicheskaya_produktsiya/tualetnaya_bumaga/tualetnaya_bumaga_v_standartnykh_rulonakh_veiro_professional_premium_2_sl_25_m_belaya/" TargetMode="External"/><Relationship Id="rId15" Type="http://schemas.openxmlformats.org/officeDocument/2006/relationships/hyperlink" Target="https://www.vseinstrumenti.ru/product/osvezhitel-ochistitel-domestos-attax-morskaya-svezhest-komplekt-stikerov-3sht-h10g-601239-1183044/?ysclid=m0oywa2e46743434083" TargetMode="External"/><Relationship Id="rId10" Type="http://schemas.openxmlformats.org/officeDocument/2006/relationships/hyperlink" Target="https://attacher.ru/product/osvezhitel-vozduxa-lis--morskoj-127474" TargetMode="External"/><Relationship Id="rId4" Type="http://schemas.openxmlformats.org/officeDocument/2006/relationships/hyperlink" Target="https://plastikko.ru/5562?ysclid=m0kozw9cj95197996" TargetMode="External"/><Relationship Id="rId9" Type="http://schemas.openxmlformats.org/officeDocument/2006/relationships/hyperlink" Target="https://www.chipdip.ru/product0/8012457201" TargetMode="External"/><Relationship Id="rId14" Type="http://schemas.openxmlformats.org/officeDocument/2006/relationships/hyperlink" Target="https://www.brauberg-rus.ru/osvezhitel_ochistitel_dlya_unitaza_pissuara_komplekt_3_sht_h_10_g_domestos_attax_morskaya_svezhest_stike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Q9"/>
  <sheetViews>
    <sheetView topLeftCell="D4" zoomScale="62" zoomScaleNormal="62" workbookViewId="0">
      <selection activeCell="B9" sqref="B9"/>
    </sheetView>
  </sheetViews>
  <sheetFormatPr defaultRowHeight="15" x14ac:dyDescent="0.25"/>
  <cols>
    <col min="2" max="2" width="62.5703125" customWidth="1"/>
    <col min="3" max="3" width="22.5703125" customWidth="1"/>
    <col min="4" max="4" width="58" customWidth="1"/>
    <col min="5" max="5" width="15.28515625" customWidth="1"/>
    <col min="6" max="6" width="13.140625" customWidth="1"/>
    <col min="7" max="7" width="46" customWidth="1"/>
    <col min="8" max="9" width="13.42578125" customWidth="1"/>
    <col min="10" max="10" width="44.5703125" customWidth="1"/>
    <col min="11" max="12" width="12.85546875" customWidth="1"/>
    <col min="13" max="13" width="19.7109375" customWidth="1"/>
    <col min="14" max="14" width="14.85546875" customWidth="1"/>
    <col min="15" max="16" width="18.5703125" customWidth="1"/>
    <col min="17" max="17" width="26.85546875" customWidth="1"/>
    <col min="19" max="19" width="15.85546875" customWidth="1"/>
    <col min="21" max="21" width="14.42578125" customWidth="1"/>
  </cols>
  <sheetData>
    <row r="3" spans="1:17" ht="18.75" x14ac:dyDescent="0.25">
      <c r="B3" s="1" t="s">
        <v>2</v>
      </c>
      <c r="C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7" s="10" customFormat="1" ht="63" x14ac:dyDescent="0.3">
      <c r="A4" s="4" t="s">
        <v>1</v>
      </c>
      <c r="B4" s="4" t="s">
        <v>3</v>
      </c>
      <c r="C4" s="5" t="s">
        <v>4</v>
      </c>
      <c r="D4" s="8" t="s">
        <v>0</v>
      </c>
      <c r="E4" s="7" t="s">
        <v>6</v>
      </c>
      <c r="F4" s="7" t="s">
        <v>7</v>
      </c>
      <c r="G4" s="8" t="s">
        <v>0</v>
      </c>
      <c r="H4" s="7" t="s">
        <v>8</v>
      </c>
      <c r="I4" s="7" t="s">
        <v>9</v>
      </c>
      <c r="J4" s="8" t="s">
        <v>0</v>
      </c>
      <c r="K4" s="7" t="s">
        <v>10</v>
      </c>
      <c r="L4" s="7" t="s">
        <v>11</v>
      </c>
      <c r="M4" s="9" t="s">
        <v>13</v>
      </c>
      <c r="N4" s="7" t="s">
        <v>12</v>
      </c>
      <c r="O4" s="8" t="s">
        <v>14</v>
      </c>
      <c r="P4" s="8" t="s">
        <v>16</v>
      </c>
      <c r="Q4" s="14" t="s">
        <v>20</v>
      </c>
    </row>
    <row r="5" spans="1:17" ht="96.75" customHeight="1" x14ac:dyDescent="0.25">
      <c r="A5" s="17">
        <v>1</v>
      </c>
      <c r="B5" s="18" t="s">
        <v>31</v>
      </c>
      <c r="C5" s="6" t="s">
        <v>5</v>
      </c>
      <c r="D5" s="12" t="s">
        <v>24</v>
      </c>
      <c r="E5" s="2">
        <f>2300/20</f>
        <v>115</v>
      </c>
      <c r="F5" s="2">
        <f t="shared" ref="F5:F7" si="0">E5/1.2</f>
        <v>95.83</v>
      </c>
      <c r="G5" s="12" t="s">
        <v>25</v>
      </c>
      <c r="H5" s="2">
        <f>2699/20</f>
        <v>134.94999999999999</v>
      </c>
      <c r="I5" s="2">
        <f t="shared" ref="I5:I9" si="1">H5/1.2</f>
        <v>112.46</v>
      </c>
      <c r="J5" s="12" t="s">
        <v>26</v>
      </c>
      <c r="K5" s="2">
        <f>2500/20</f>
        <v>125</v>
      </c>
      <c r="L5" s="2">
        <f t="shared" ref="L5:L9" si="2">K5/1.2</f>
        <v>104.17</v>
      </c>
      <c r="M5" s="3">
        <f>MIN(F5,I5,L5)*1.25</f>
        <v>119.79</v>
      </c>
      <c r="N5" s="11">
        <f t="shared" ref="N5:N8" si="3">(F5+I5+L5)/3</f>
        <v>104.15</v>
      </c>
      <c r="O5" s="20">
        <f t="shared" ref="O5:O9" si="4">MIN(F5,I5,L5)</f>
        <v>95.83</v>
      </c>
      <c r="P5" s="11">
        <f t="shared" ref="P5:P9" si="5">MIN(E5,H5,K5)</f>
        <v>115</v>
      </c>
      <c r="Q5" s="15" t="str">
        <f>IF(MIN(F5,I5,L5)*1.25-MAX(F5,I5,L5) &gt;0,"да","нет")</f>
        <v>да</v>
      </c>
    </row>
    <row r="6" spans="1:17" ht="37.5" x14ac:dyDescent="0.25">
      <c r="A6" s="17">
        <v>2</v>
      </c>
      <c r="B6" s="18" t="s">
        <v>30</v>
      </c>
      <c r="C6" s="6" t="s">
        <v>15</v>
      </c>
      <c r="D6" s="13" t="s">
        <v>23</v>
      </c>
      <c r="E6" s="2">
        <f>303.8/5</f>
        <v>60.76</v>
      </c>
      <c r="F6" s="2">
        <f t="shared" si="0"/>
        <v>50.63</v>
      </c>
      <c r="G6" s="13" t="s">
        <v>18</v>
      </c>
      <c r="H6" s="16">
        <f>289/5</f>
        <v>57.8</v>
      </c>
      <c r="I6" s="2">
        <f t="shared" si="1"/>
        <v>48.17</v>
      </c>
      <c r="J6" s="13" t="s">
        <v>22</v>
      </c>
      <c r="K6" s="2">
        <f>272/5</f>
        <v>54.4</v>
      </c>
      <c r="L6" s="2">
        <f t="shared" si="2"/>
        <v>45.33</v>
      </c>
      <c r="M6" s="3">
        <f t="shared" ref="M6:M7" si="6">MIN(F6,I6,L6)*1.25</f>
        <v>56.66</v>
      </c>
      <c r="N6" s="11">
        <f t="shared" si="3"/>
        <v>48.04</v>
      </c>
      <c r="O6" s="20">
        <f t="shared" si="4"/>
        <v>45.33</v>
      </c>
      <c r="P6" s="11">
        <f t="shared" si="5"/>
        <v>54.4</v>
      </c>
      <c r="Q6" s="15" t="str">
        <f t="shared" ref="Q6:Q9" si="7">IF(MIN(F6,I6,L6)*1.25-MAX(F6,I6,L6) &gt;0,"да","нет")</f>
        <v>да</v>
      </c>
    </row>
    <row r="7" spans="1:17" ht="60" x14ac:dyDescent="0.25">
      <c r="A7" s="17">
        <v>3</v>
      </c>
      <c r="B7" s="18" t="s">
        <v>33</v>
      </c>
      <c r="C7" s="6" t="s">
        <v>5</v>
      </c>
      <c r="D7" s="12" t="s">
        <v>27</v>
      </c>
      <c r="E7" s="2">
        <v>86.49</v>
      </c>
      <c r="F7" s="2">
        <f t="shared" si="0"/>
        <v>72.08</v>
      </c>
      <c r="G7" s="12" t="s">
        <v>28</v>
      </c>
      <c r="H7" s="2">
        <v>74.52</v>
      </c>
      <c r="I7" s="2">
        <f t="shared" si="1"/>
        <v>62.1</v>
      </c>
      <c r="J7" s="12" t="s">
        <v>29</v>
      </c>
      <c r="K7" s="2">
        <v>71</v>
      </c>
      <c r="L7" s="2">
        <f t="shared" si="2"/>
        <v>59.17</v>
      </c>
      <c r="M7" s="3">
        <f t="shared" si="6"/>
        <v>73.959999999999994</v>
      </c>
      <c r="N7" s="11">
        <f t="shared" si="3"/>
        <v>64.45</v>
      </c>
      <c r="O7" s="20">
        <f t="shared" si="4"/>
        <v>59.17</v>
      </c>
      <c r="P7" s="11">
        <f t="shared" si="5"/>
        <v>71</v>
      </c>
      <c r="Q7" s="15" t="str">
        <f t="shared" si="7"/>
        <v>да</v>
      </c>
    </row>
    <row r="8" spans="1:17" ht="75" x14ac:dyDescent="0.25">
      <c r="A8" s="17">
        <v>4</v>
      </c>
      <c r="B8" s="18" t="s">
        <v>32</v>
      </c>
      <c r="C8" s="6" t="s">
        <v>5</v>
      </c>
      <c r="D8" s="19" t="s">
        <v>21</v>
      </c>
      <c r="E8" s="2">
        <f>1021.24/48</f>
        <v>21.28</v>
      </c>
      <c r="F8" s="2">
        <v>17.72</v>
      </c>
      <c r="G8" s="12" t="s">
        <v>17</v>
      </c>
      <c r="H8" s="2">
        <v>20</v>
      </c>
      <c r="I8" s="2">
        <f t="shared" si="1"/>
        <v>16.670000000000002</v>
      </c>
      <c r="J8" s="12" t="s">
        <v>19</v>
      </c>
      <c r="K8" s="2">
        <v>20.49</v>
      </c>
      <c r="L8" s="2">
        <f t="shared" si="2"/>
        <v>17.079999999999998</v>
      </c>
      <c r="M8" s="3">
        <f t="shared" ref="M8:M9" si="8">MIN(F8,I8,L8)*1.25</f>
        <v>20.84</v>
      </c>
      <c r="N8" s="11">
        <f t="shared" si="3"/>
        <v>17.16</v>
      </c>
      <c r="O8" s="20">
        <f t="shared" si="4"/>
        <v>16.670000000000002</v>
      </c>
      <c r="P8" s="11">
        <f t="shared" si="5"/>
        <v>20</v>
      </c>
      <c r="Q8" s="15" t="str">
        <f t="shared" si="7"/>
        <v>да</v>
      </c>
    </row>
    <row r="9" spans="1:17" ht="60" x14ac:dyDescent="0.25">
      <c r="A9" s="17">
        <v>5</v>
      </c>
      <c r="B9" s="18" t="s">
        <v>34</v>
      </c>
      <c r="C9" s="6" t="s">
        <v>5</v>
      </c>
      <c r="D9" s="12" t="s">
        <v>35</v>
      </c>
      <c r="E9" s="2">
        <f>99/3</f>
        <v>33</v>
      </c>
      <c r="F9" s="2">
        <f t="shared" ref="F9" si="9">E9/1.2</f>
        <v>27.5</v>
      </c>
      <c r="G9" s="13" t="s">
        <v>36</v>
      </c>
      <c r="H9" s="16">
        <f>117.76/3</f>
        <v>39.25</v>
      </c>
      <c r="I9" s="2">
        <f t="shared" si="1"/>
        <v>32.71</v>
      </c>
      <c r="J9" s="13" t="s">
        <v>37</v>
      </c>
      <c r="K9" s="2">
        <f>119/3</f>
        <v>39.67</v>
      </c>
      <c r="L9" s="2">
        <f t="shared" si="2"/>
        <v>33.06</v>
      </c>
      <c r="M9" s="3">
        <f t="shared" si="8"/>
        <v>34.380000000000003</v>
      </c>
      <c r="N9" s="11">
        <f>(F9+I9+L9)/3</f>
        <v>31.09</v>
      </c>
      <c r="O9" s="20">
        <f t="shared" si="4"/>
        <v>27.5</v>
      </c>
      <c r="P9" s="11">
        <f t="shared" si="5"/>
        <v>33</v>
      </c>
      <c r="Q9" s="15" t="str">
        <f t="shared" si="7"/>
        <v>да</v>
      </c>
    </row>
  </sheetData>
  <conditionalFormatting sqref="Q5:Q9">
    <cfRule type="cellIs" dxfId="0" priority="1" operator="equal">
      <formula>"нет"</formula>
    </cfRule>
  </conditionalFormatting>
  <hyperlinks>
    <hyperlink ref="D5" r:id="rId1" display="https://moscow.petrovich.ru/product/799082/?utm_source=yandex&amp;utm_medium=cpc&amp;utm_campaign=MSK|Performance|New|Santekhnika|110121663&amp;utm_content=gid|5462228025|pos|premium3|src|none|dvc|desktop|ad|1844970697407912564&amp;utm_term=52281786464|---autotargeting|reg|%D0%9C%D0%BE%D1%81%D0%BA%D0%B2%D0%B0&amp;utm_id=yandex_110121663&amp;yclid=9675754447713337343" xr:uid="{00000000-0004-0000-0000-000000000000}"/>
    <hyperlink ref="D6" r:id="rId2" xr:uid="{00000000-0004-0000-0000-000001000000}"/>
    <hyperlink ref="G6" r:id="rId3" xr:uid="{00000000-0004-0000-0000-000002000000}"/>
    <hyperlink ref="J6" r:id="rId4" xr:uid="{00000000-0004-0000-0000-000003000000}"/>
    <hyperlink ref="J8" r:id="rId5" xr:uid="{00000000-0004-0000-0000-000004000000}"/>
    <hyperlink ref="G8" r:id="rId6" xr:uid="{00000000-0004-0000-0000-000005000000}"/>
    <hyperlink ref="D8" r:id="rId7" display="https://www.kvik.ru/catalog/novoe-s/tualetnaya-bumaga-professionalnaya_1/bumaga-tualetnaya-25m-veiro-professional-premium-komplekt-48sht-2-sl-disp-601826-t308?ysclid=m0ko0lyr81812671377" xr:uid="{00000000-0004-0000-0000-000006000000}"/>
    <hyperlink ref="G5" r:id="rId8" display="https://www.komus.ru/katalog/khozyajstvennye-tovary/bumazhnye-polotentsa/polotentsa-professionalnye/polotentsa-bumazhnye-listovye-tork-120108-universal-h3-zz-slozheniya-1-slojnye-20-pachek-po-250-listov/p/52333/?ysclid=m0oy0cpqno730669418&amp;utm_referrer=https%3A%2F%2Fyandex.ru%2F" xr:uid="{00000000-0004-0000-0000-000007000000}"/>
    <hyperlink ref="J5" r:id="rId9" xr:uid="{00000000-0004-0000-0000-000008000000}"/>
    <hyperlink ref="D7" r:id="rId10" xr:uid="{00000000-0004-0000-0000-000009000000}"/>
    <hyperlink ref="G7" r:id="rId11" xr:uid="{00000000-0004-0000-0000-00000A000000}"/>
    <hyperlink ref="J7" r:id="rId12" xr:uid="{00000000-0004-0000-0000-00000B000000}"/>
    <hyperlink ref="D9" r:id="rId13" xr:uid="{00000000-0004-0000-0000-00000C000000}"/>
    <hyperlink ref="G9" r:id="rId14" xr:uid="{00000000-0004-0000-0000-00000D000000}"/>
    <hyperlink ref="J9" r:id="rId15" xr:uid="{00000000-0004-0000-0000-00000E000000}"/>
  </hyperlinks>
  <pageMargins left="0.7" right="0.7" top="0.75" bottom="0.75" header="0.3" footer="0.3"/>
  <pageSetup paperSize="9" scale="39" fitToHeight="0" orientation="landscape" r:id="rId1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M65"/>
  <sheetViews>
    <sheetView tabSelected="1" zoomScale="85" zoomScaleNormal="85" zoomScaleSheetLayoutView="40" workbookViewId="0">
      <selection activeCell="A45" sqref="A45:M45"/>
    </sheetView>
  </sheetViews>
  <sheetFormatPr defaultColWidth="9" defaultRowHeight="15" x14ac:dyDescent="0.25"/>
  <cols>
    <col min="1" max="1" width="49.28515625" style="21" customWidth="1"/>
    <col min="2" max="2" width="13.42578125" style="21" customWidth="1"/>
    <col min="3" max="4" width="12.42578125" style="29" customWidth="1"/>
    <col min="5" max="5" width="14.5703125" style="29" customWidth="1"/>
    <col min="6" max="6" width="15.140625" style="29" hidden="1" customWidth="1"/>
    <col min="7" max="8" width="12.85546875" style="29" hidden="1" customWidth="1"/>
    <col min="9" max="9" width="15.42578125" style="29" customWidth="1"/>
    <col min="10" max="10" width="17" style="29" customWidth="1"/>
    <col min="11" max="11" width="17.7109375" style="29" customWidth="1"/>
    <col min="12" max="12" width="19" style="29" customWidth="1"/>
    <col min="13" max="13" width="23" style="29" customWidth="1"/>
    <col min="14" max="16384" width="9" style="21"/>
  </cols>
  <sheetData>
    <row r="2" spans="1:13" ht="27.75" customHeight="1" x14ac:dyDescent="0.25">
      <c r="A2" s="52" t="s">
        <v>68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3" x14ac:dyDescent="0.25">
      <c r="A3" s="22"/>
      <c r="B3" s="22"/>
    </row>
    <row r="4" spans="1:13" ht="66.75" customHeight="1" x14ac:dyDescent="0.25">
      <c r="A4" s="53" t="s">
        <v>67</v>
      </c>
      <c r="B4" s="53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</row>
    <row r="5" spans="1:13" ht="17.25" customHeight="1" x14ac:dyDescent="0.25">
      <c r="A5" s="23"/>
      <c r="B5" s="23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</row>
    <row r="6" spans="1:13" ht="40.9" customHeight="1" x14ac:dyDescent="0.25">
      <c r="A6" s="55" t="s">
        <v>38</v>
      </c>
      <c r="B6" s="55" t="s">
        <v>39</v>
      </c>
      <c r="C6" s="57" t="s">
        <v>40</v>
      </c>
      <c r="D6" s="58"/>
      <c r="E6" s="59"/>
      <c r="F6" s="31"/>
      <c r="G6" s="31"/>
      <c r="H6" s="31"/>
      <c r="I6" s="63" t="s">
        <v>41</v>
      </c>
      <c r="J6" s="65" t="s">
        <v>42</v>
      </c>
      <c r="K6" s="66"/>
      <c r="L6" s="63" t="s">
        <v>43</v>
      </c>
      <c r="M6" s="63" t="s">
        <v>44</v>
      </c>
    </row>
    <row r="7" spans="1:13" ht="69" customHeight="1" x14ac:dyDescent="0.25">
      <c r="A7" s="56"/>
      <c r="B7" s="56"/>
      <c r="C7" s="60"/>
      <c r="D7" s="61"/>
      <c r="E7" s="62"/>
      <c r="F7" s="32"/>
      <c r="G7" s="32"/>
      <c r="H7" s="32"/>
      <c r="I7" s="64"/>
      <c r="J7" s="33" t="s">
        <v>45</v>
      </c>
      <c r="K7" s="33" t="s">
        <v>46</v>
      </c>
      <c r="L7" s="64"/>
      <c r="M7" s="64"/>
    </row>
    <row r="8" spans="1:13" x14ac:dyDescent="0.25">
      <c r="A8" s="24">
        <v>1</v>
      </c>
      <c r="B8" s="24">
        <v>2</v>
      </c>
      <c r="C8" s="33">
        <v>3</v>
      </c>
      <c r="D8" s="34">
        <v>4</v>
      </c>
      <c r="E8" s="33">
        <v>5</v>
      </c>
      <c r="F8" s="33"/>
      <c r="G8" s="33"/>
      <c r="H8" s="33"/>
      <c r="I8" s="33">
        <v>6</v>
      </c>
      <c r="J8" s="33">
        <v>7</v>
      </c>
      <c r="K8" s="33">
        <v>8</v>
      </c>
      <c r="L8" s="33">
        <v>9</v>
      </c>
      <c r="M8" s="33">
        <v>10</v>
      </c>
    </row>
    <row r="9" spans="1:13" ht="19.149999999999999" customHeight="1" x14ac:dyDescent="0.25">
      <c r="A9" s="25" t="s">
        <v>47</v>
      </c>
      <c r="B9" s="25"/>
      <c r="C9" s="35" t="s">
        <v>48</v>
      </c>
      <c r="D9" s="35" t="s">
        <v>49</v>
      </c>
      <c r="E9" s="36" t="s">
        <v>50</v>
      </c>
      <c r="F9" s="34"/>
      <c r="G9" s="34"/>
      <c r="H9" s="34"/>
      <c r="I9" s="33" t="s">
        <v>51</v>
      </c>
      <c r="J9" s="33"/>
      <c r="K9" s="33"/>
      <c r="L9" s="33" t="s">
        <v>51</v>
      </c>
      <c r="M9" s="33" t="s">
        <v>51</v>
      </c>
    </row>
    <row r="10" spans="1:13" ht="69.75" customHeight="1" x14ac:dyDescent="0.25">
      <c r="A10" s="25" t="s">
        <v>52</v>
      </c>
      <c r="B10" s="67" t="s">
        <v>69</v>
      </c>
      <c r="C10" s="70" t="s">
        <v>66</v>
      </c>
      <c r="D10" s="71"/>
      <c r="E10" s="72"/>
      <c r="F10" s="44"/>
      <c r="G10" s="44"/>
      <c r="H10" s="44"/>
      <c r="I10" s="37"/>
      <c r="J10" s="37"/>
      <c r="K10" s="37"/>
      <c r="L10" s="37"/>
      <c r="M10" s="33" t="s">
        <v>51</v>
      </c>
    </row>
    <row r="11" spans="1:13" x14ac:dyDescent="0.25">
      <c r="A11" s="25" t="s">
        <v>53</v>
      </c>
      <c r="B11" s="68"/>
      <c r="C11" s="73">
        <v>10767</v>
      </c>
      <c r="D11" s="74">
        <v>2000</v>
      </c>
      <c r="E11" s="75">
        <v>2000</v>
      </c>
      <c r="F11" s="38"/>
      <c r="G11" s="38"/>
      <c r="H11" s="38"/>
      <c r="I11" s="37"/>
      <c r="J11" s="37"/>
      <c r="K11" s="37"/>
      <c r="L11" s="37"/>
      <c r="M11" s="33" t="s">
        <v>51</v>
      </c>
    </row>
    <row r="12" spans="1:13" x14ac:dyDescent="0.25">
      <c r="A12" s="25" t="s">
        <v>54</v>
      </c>
      <c r="B12" s="68"/>
      <c r="C12" s="65" t="s">
        <v>55</v>
      </c>
      <c r="D12" s="76"/>
      <c r="E12" s="66"/>
      <c r="F12" s="39"/>
      <c r="G12" s="39"/>
      <c r="H12" s="39"/>
      <c r="I12" s="37"/>
      <c r="J12" s="37"/>
      <c r="K12" s="37"/>
      <c r="L12" s="37"/>
      <c r="M12" s="37"/>
    </row>
    <row r="13" spans="1:13" ht="30" x14ac:dyDescent="0.25">
      <c r="A13" s="25" t="s">
        <v>56</v>
      </c>
      <c r="B13" s="68"/>
      <c r="C13" s="40">
        <v>15.4</v>
      </c>
      <c r="D13" s="33">
        <v>16.5</v>
      </c>
      <c r="E13" s="33">
        <v>18.100000000000001</v>
      </c>
      <c r="F13" s="41">
        <f>C13*C11</f>
        <v>165811.79999999999</v>
      </c>
      <c r="G13" s="41">
        <f>D13*C11</f>
        <v>177655.5</v>
      </c>
      <c r="H13" s="41">
        <f>E13*C11</f>
        <v>194882.7</v>
      </c>
      <c r="I13" s="41">
        <f>ROUND((C13+D13+E13)/3,2)</f>
        <v>16.670000000000002</v>
      </c>
      <c r="J13" s="42"/>
      <c r="K13" s="41"/>
      <c r="L13" s="41">
        <f>I13*C11</f>
        <v>179485.89</v>
      </c>
      <c r="M13" s="37"/>
    </row>
    <row r="14" spans="1:13" x14ac:dyDescent="0.25">
      <c r="A14" s="25" t="s">
        <v>57</v>
      </c>
      <c r="B14" s="68"/>
      <c r="C14" s="41">
        <f>C13*0.2</f>
        <v>3.08</v>
      </c>
      <c r="D14" s="41">
        <f>D13*0.2</f>
        <v>3.3</v>
      </c>
      <c r="E14" s="41">
        <f>E13*0.2</f>
        <v>3.62</v>
      </c>
      <c r="F14" s="41">
        <f>C14*C11</f>
        <v>33162.36</v>
      </c>
      <c r="G14" s="41">
        <f>D14*C11</f>
        <v>35531.1</v>
      </c>
      <c r="H14" s="41">
        <f>E14*C11</f>
        <v>38976.54</v>
      </c>
      <c r="I14" s="41"/>
      <c r="J14" s="42"/>
      <c r="K14" s="41"/>
      <c r="L14" s="41"/>
      <c r="M14" s="37"/>
    </row>
    <row r="15" spans="1:13" x14ac:dyDescent="0.25">
      <c r="A15" s="25" t="s">
        <v>58</v>
      </c>
      <c r="B15" s="68"/>
      <c r="C15" s="43">
        <v>0.2</v>
      </c>
      <c r="D15" s="43">
        <v>0.2</v>
      </c>
      <c r="E15" s="43">
        <v>0.2</v>
      </c>
      <c r="F15" s="43"/>
      <c r="G15" s="43"/>
      <c r="H15" s="43"/>
      <c r="I15" s="41"/>
      <c r="J15" s="42"/>
      <c r="K15" s="41"/>
      <c r="L15" s="41"/>
      <c r="M15" s="37"/>
    </row>
    <row r="16" spans="1:13" ht="30" x14ac:dyDescent="0.25">
      <c r="A16" s="25" t="s">
        <v>59</v>
      </c>
      <c r="B16" s="69"/>
      <c r="C16" s="41">
        <f>C13+C14</f>
        <v>18.48</v>
      </c>
      <c r="D16" s="41">
        <f>D13+D14</f>
        <v>19.8</v>
      </c>
      <c r="E16" s="41">
        <f>E13+E14</f>
        <v>21.72</v>
      </c>
      <c r="F16" s="41">
        <f>C16*C11</f>
        <v>198974.16</v>
      </c>
      <c r="G16" s="41">
        <f>D16*C11</f>
        <v>213186.6</v>
      </c>
      <c r="H16" s="41">
        <f>E16*C11</f>
        <v>233859.24</v>
      </c>
      <c r="I16" s="41">
        <f>ROUND((C16+D16+E16)/3,2)</f>
        <v>20</v>
      </c>
      <c r="J16" s="42">
        <f>_xlfn.STDEV.S(C16,D16,E16)/L16*100</f>
        <v>7.5644000000000004E-4</v>
      </c>
      <c r="K16" s="41">
        <f>((E16*100/C16)-100)</f>
        <v>17.53</v>
      </c>
      <c r="L16" s="41">
        <f>L13*1.2</f>
        <v>215383.07</v>
      </c>
      <c r="M16" s="33" t="s">
        <v>51</v>
      </c>
    </row>
    <row r="17" spans="1:13" ht="18" hidden="1" customHeight="1" x14ac:dyDescent="0.25">
      <c r="A17" s="25" t="s">
        <v>52</v>
      </c>
      <c r="B17" s="67" t="s">
        <v>60</v>
      </c>
      <c r="C17" s="70"/>
      <c r="D17" s="71"/>
      <c r="E17" s="72"/>
      <c r="F17" s="44"/>
      <c r="G17" s="44"/>
      <c r="H17" s="44"/>
      <c r="I17" s="37"/>
      <c r="J17" s="37"/>
      <c r="K17" s="37"/>
      <c r="L17" s="37"/>
      <c r="M17" s="33" t="s">
        <v>51</v>
      </c>
    </row>
    <row r="18" spans="1:13" ht="33" hidden="1" customHeight="1" x14ac:dyDescent="0.25">
      <c r="A18" s="25" t="s">
        <v>53</v>
      </c>
      <c r="B18" s="68"/>
      <c r="C18" s="73"/>
      <c r="D18" s="74"/>
      <c r="E18" s="75"/>
      <c r="F18" s="38"/>
      <c r="G18" s="38"/>
      <c r="H18" s="38"/>
      <c r="I18" s="37"/>
      <c r="J18" s="37"/>
      <c r="K18" s="37"/>
      <c r="L18" s="37"/>
      <c r="M18" s="33" t="s">
        <v>51</v>
      </c>
    </row>
    <row r="19" spans="1:13" ht="27" hidden="1" customHeight="1" x14ac:dyDescent="0.25">
      <c r="A19" s="25" t="s">
        <v>54</v>
      </c>
      <c r="B19" s="68"/>
      <c r="C19" s="65"/>
      <c r="D19" s="76"/>
      <c r="E19" s="66"/>
      <c r="F19" s="39"/>
      <c r="G19" s="39"/>
      <c r="H19" s="39"/>
      <c r="I19" s="37"/>
      <c r="J19" s="37"/>
      <c r="K19" s="37"/>
      <c r="L19" s="37"/>
      <c r="M19" s="37"/>
    </row>
    <row r="20" spans="1:13" ht="30" hidden="1" customHeight="1" x14ac:dyDescent="0.25">
      <c r="A20" s="25" t="s">
        <v>56</v>
      </c>
      <c r="B20" s="68"/>
      <c r="C20" s="33"/>
      <c r="D20" s="33"/>
      <c r="E20" s="33"/>
      <c r="F20" s="41">
        <f>C20*C18</f>
        <v>0</v>
      </c>
      <c r="G20" s="41">
        <f>D20*C18</f>
        <v>0</v>
      </c>
      <c r="H20" s="41">
        <f>E20*C18</f>
        <v>0</v>
      </c>
      <c r="I20" s="41">
        <f>ROUND((C20+D20+E20)/3,2)</f>
        <v>0</v>
      </c>
      <c r="J20" s="42"/>
      <c r="K20" s="41"/>
      <c r="L20" s="41">
        <f>I20*C18</f>
        <v>0</v>
      </c>
      <c r="M20" s="37"/>
    </row>
    <row r="21" spans="1:13" ht="34.5" hidden="1" customHeight="1" x14ac:dyDescent="0.25">
      <c r="A21" s="25" t="s">
        <v>57</v>
      </c>
      <c r="B21" s="68"/>
      <c r="C21" s="41">
        <f>C20*0.2</f>
        <v>0</v>
      </c>
      <c r="D21" s="41">
        <f>D20*0.2</f>
        <v>0</v>
      </c>
      <c r="E21" s="41">
        <f>E20*0.2</f>
        <v>0</v>
      </c>
      <c r="F21" s="41"/>
      <c r="G21" s="41"/>
      <c r="H21" s="41"/>
      <c r="I21" s="41"/>
      <c r="J21" s="42"/>
      <c r="K21" s="41"/>
      <c r="L21" s="41"/>
      <c r="M21" s="37"/>
    </row>
    <row r="22" spans="1:13" ht="19.5" hidden="1" customHeight="1" x14ac:dyDescent="0.25">
      <c r="A22" s="25" t="s">
        <v>58</v>
      </c>
      <c r="B22" s="68"/>
      <c r="C22" s="43">
        <v>0.2</v>
      </c>
      <c r="D22" s="43">
        <v>0.2</v>
      </c>
      <c r="E22" s="43">
        <v>0.2</v>
      </c>
      <c r="F22" s="43"/>
      <c r="G22" s="43"/>
      <c r="H22" s="43"/>
      <c r="I22" s="41"/>
      <c r="J22" s="42"/>
      <c r="K22" s="41"/>
      <c r="L22" s="41"/>
      <c r="M22" s="37"/>
    </row>
    <row r="23" spans="1:13" ht="21" hidden="1" customHeight="1" x14ac:dyDescent="0.25">
      <c r="A23" s="25" t="s">
        <v>59</v>
      </c>
      <c r="B23" s="69"/>
      <c r="C23" s="41">
        <f>C20+C21</f>
        <v>0</v>
      </c>
      <c r="D23" s="41">
        <f>D20+D21</f>
        <v>0</v>
      </c>
      <c r="E23" s="41">
        <f>E20+E21</f>
        <v>0</v>
      </c>
      <c r="F23" s="41">
        <f>C23*C18</f>
        <v>0</v>
      </c>
      <c r="G23" s="41">
        <f>D23*C18</f>
        <v>0</v>
      </c>
      <c r="H23" s="41">
        <f>E23*C18</f>
        <v>0</v>
      </c>
      <c r="I23" s="41">
        <f>ROUND((C23+D23+E23)/3,2)</f>
        <v>0</v>
      </c>
      <c r="J23" s="42" t="e">
        <f>_xlfn.STDEV.S(C23,D23,E23)/L23*100</f>
        <v>#DIV/0!</v>
      </c>
      <c r="K23" s="41" t="e">
        <f>((E23*100/C23)-100)</f>
        <v>#DIV/0!</v>
      </c>
      <c r="L23" s="41">
        <f>L20*1.2</f>
        <v>0</v>
      </c>
      <c r="M23" s="33" t="s">
        <v>51</v>
      </c>
    </row>
    <row r="24" spans="1:13" ht="21.75" hidden="1" customHeight="1" x14ac:dyDescent="0.25">
      <c r="A24" s="25" t="s">
        <v>52</v>
      </c>
      <c r="B24" s="67" t="s">
        <v>60</v>
      </c>
      <c r="C24" s="70"/>
      <c r="D24" s="71"/>
      <c r="E24" s="72"/>
      <c r="F24" s="44"/>
      <c r="G24" s="44"/>
      <c r="H24" s="44"/>
      <c r="I24" s="37"/>
      <c r="J24" s="37"/>
      <c r="K24" s="37"/>
      <c r="L24" s="37"/>
      <c r="M24" s="33" t="s">
        <v>51</v>
      </c>
    </row>
    <row r="25" spans="1:13" ht="18.75" hidden="1" customHeight="1" x14ac:dyDescent="0.25">
      <c r="A25" s="25" t="s">
        <v>53</v>
      </c>
      <c r="B25" s="68"/>
      <c r="C25" s="73"/>
      <c r="D25" s="74"/>
      <c r="E25" s="75"/>
      <c r="F25" s="38"/>
      <c r="G25" s="38"/>
      <c r="H25" s="38"/>
      <c r="I25" s="37"/>
      <c r="J25" s="37"/>
      <c r="K25" s="37"/>
      <c r="L25" s="37"/>
      <c r="M25" s="33" t="s">
        <v>51</v>
      </c>
    </row>
    <row r="26" spans="1:13" ht="27" hidden="1" customHeight="1" x14ac:dyDescent="0.25">
      <c r="A26" s="25" t="s">
        <v>54</v>
      </c>
      <c r="B26" s="68"/>
      <c r="C26" s="65"/>
      <c r="D26" s="76"/>
      <c r="E26" s="66"/>
      <c r="F26" s="39"/>
      <c r="G26" s="39"/>
      <c r="H26" s="39"/>
      <c r="I26" s="37"/>
      <c r="J26" s="37"/>
      <c r="K26" s="37"/>
      <c r="L26" s="37"/>
      <c r="M26" s="37"/>
    </row>
    <row r="27" spans="1:13" ht="24" hidden="1" customHeight="1" x14ac:dyDescent="0.25">
      <c r="A27" s="25" t="s">
        <v>56</v>
      </c>
      <c r="B27" s="68"/>
      <c r="C27" s="33"/>
      <c r="D27" s="33"/>
      <c r="E27" s="33"/>
      <c r="F27" s="41">
        <f>C27*C25</f>
        <v>0</v>
      </c>
      <c r="G27" s="41">
        <f>D27*C25</f>
        <v>0</v>
      </c>
      <c r="H27" s="41">
        <f>E27*C25</f>
        <v>0</v>
      </c>
      <c r="I27" s="41">
        <f>ROUND((C27+D27+E27)/3,2)</f>
        <v>0</v>
      </c>
      <c r="J27" s="42"/>
      <c r="K27" s="41"/>
      <c r="L27" s="41">
        <f>I27*C25</f>
        <v>0</v>
      </c>
      <c r="M27" s="37"/>
    </row>
    <row r="28" spans="1:13" ht="19.5" hidden="1" customHeight="1" x14ac:dyDescent="0.25">
      <c r="A28" s="25" t="s">
        <v>57</v>
      </c>
      <c r="B28" s="68"/>
      <c r="C28" s="41">
        <f>C27*0.2</f>
        <v>0</v>
      </c>
      <c r="D28" s="41">
        <f>D27*0.2</f>
        <v>0</v>
      </c>
      <c r="E28" s="41">
        <f>E27*0.2</f>
        <v>0</v>
      </c>
      <c r="F28" s="41"/>
      <c r="G28" s="41"/>
      <c r="H28" s="41"/>
      <c r="I28" s="41"/>
      <c r="J28" s="42"/>
      <c r="K28" s="41"/>
      <c r="L28" s="41"/>
      <c r="M28" s="37"/>
    </row>
    <row r="29" spans="1:13" ht="21" hidden="1" customHeight="1" x14ac:dyDescent="0.25">
      <c r="A29" s="25" t="s">
        <v>58</v>
      </c>
      <c r="B29" s="68"/>
      <c r="C29" s="43">
        <v>0.2</v>
      </c>
      <c r="D29" s="43">
        <v>0.2</v>
      </c>
      <c r="E29" s="43">
        <v>0.2</v>
      </c>
      <c r="F29" s="43"/>
      <c r="G29" s="43"/>
      <c r="H29" s="43"/>
      <c r="I29" s="41"/>
      <c r="J29" s="42"/>
      <c r="K29" s="41"/>
      <c r="L29" s="41"/>
      <c r="M29" s="37"/>
    </row>
    <row r="30" spans="1:13" ht="34.5" hidden="1" customHeight="1" x14ac:dyDescent="0.25">
      <c r="A30" s="25" t="s">
        <v>59</v>
      </c>
      <c r="B30" s="69"/>
      <c r="C30" s="41">
        <f>C27+C28</f>
        <v>0</v>
      </c>
      <c r="D30" s="41">
        <f>D27+D28</f>
        <v>0</v>
      </c>
      <c r="E30" s="41">
        <f>E27+E28</f>
        <v>0</v>
      </c>
      <c r="F30" s="41">
        <f>C30*C25</f>
        <v>0</v>
      </c>
      <c r="G30" s="41">
        <f>D30*C25</f>
        <v>0</v>
      </c>
      <c r="H30" s="41">
        <f>E30*C25</f>
        <v>0</v>
      </c>
      <c r="I30" s="41">
        <f>ROUND((C30+D30+E30)/3,2)</f>
        <v>0</v>
      </c>
      <c r="J30" s="42" t="e">
        <f>_xlfn.STDEV.S(C30,D30,E30)/L30*100</f>
        <v>#DIV/0!</v>
      </c>
      <c r="K30" s="41" t="e">
        <f>((E30*100/C30)-100)</f>
        <v>#DIV/0!</v>
      </c>
      <c r="L30" s="41">
        <f>L27*1.2</f>
        <v>0</v>
      </c>
      <c r="M30" s="33" t="s">
        <v>51</v>
      </c>
    </row>
    <row r="31" spans="1:13" ht="31.5" hidden="1" customHeight="1" x14ac:dyDescent="0.25">
      <c r="A31" s="25" t="s">
        <v>52</v>
      </c>
      <c r="B31" s="67" t="s">
        <v>60</v>
      </c>
      <c r="C31" s="70"/>
      <c r="D31" s="71"/>
      <c r="E31" s="72"/>
      <c r="F31" s="44"/>
      <c r="G31" s="44"/>
      <c r="H31" s="44"/>
      <c r="I31" s="37"/>
      <c r="J31" s="37"/>
      <c r="K31" s="37"/>
      <c r="L31" s="37"/>
      <c r="M31" s="33" t="s">
        <v>51</v>
      </c>
    </row>
    <row r="32" spans="1:13" ht="26.25" hidden="1" customHeight="1" x14ac:dyDescent="0.25">
      <c r="A32" s="25" t="s">
        <v>53</v>
      </c>
      <c r="B32" s="68"/>
      <c r="C32" s="73"/>
      <c r="D32" s="74"/>
      <c r="E32" s="75"/>
      <c r="F32" s="38"/>
      <c r="G32" s="38"/>
      <c r="H32" s="38"/>
      <c r="I32" s="37"/>
      <c r="J32" s="37"/>
      <c r="K32" s="37"/>
      <c r="L32" s="37"/>
      <c r="M32" s="33" t="s">
        <v>51</v>
      </c>
    </row>
    <row r="33" spans="1:13" ht="39.75" hidden="1" customHeight="1" x14ac:dyDescent="0.25">
      <c r="A33" s="25" t="s">
        <v>54</v>
      </c>
      <c r="B33" s="68"/>
      <c r="C33" s="65"/>
      <c r="D33" s="76"/>
      <c r="E33" s="66"/>
      <c r="F33" s="39"/>
      <c r="G33" s="39"/>
      <c r="H33" s="39"/>
      <c r="I33" s="37"/>
      <c r="J33" s="37"/>
      <c r="K33" s="37"/>
      <c r="L33" s="37"/>
      <c r="M33" s="37"/>
    </row>
    <row r="34" spans="1:13" ht="26.25" hidden="1" customHeight="1" x14ac:dyDescent="0.25">
      <c r="A34" s="25" t="s">
        <v>56</v>
      </c>
      <c r="B34" s="68"/>
      <c r="C34" s="33"/>
      <c r="D34" s="33"/>
      <c r="E34" s="33"/>
      <c r="F34" s="41">
        <f>C34*C32</f>
        <v>0</v>
      </c>
      <c r="G34" s="41">
        <f>D34*C32</f>
        <v>0</v>
      </c>
      <c r="H34" s="41">
        <f>E34*C32</f>
        <v>0</v>
      </c>
      <c r="I34" s="41">
        <f>ROUND((C34+D34+E34)/3,2)</f>
        <v>0</v>
      </c>
      <c r="J34" s="42"/>
      <c r="K34" s="41"/>
      <c r="L34" s="41">
        <f>I34*C32</f>
        <v>0</v>
      </c>
      <c r="M34" s="37"/>
    </row>
    <row r="35" spans="1:13" ht="25.5" hidden="1" customHeight="1" x14ac:dyDescent="0.25">
      <c r="A35" s="25" t="s">
        <v>57</v>
      </c>
      <c r="B35" s="68"/>
      <c r="C35" s="41">
        <f>C34*0.2</f>
        <v>0</v>
      </c>
      <c r="D35" s="41">
        <f>D34*0.2</f>
        <v>0</v>
      </c>
      <c r="E35" s="41">
        <f>E34*0.2</f>
        <v>0</v>
      </c>
      <c r="F35" s="41"/>
      <c r="G35" s="41"/>
      <c r="H35" s="41"/>
      <c r="I35" s="41"/>
      <c r="J35" s="42"/>
      <c r="K35" s="41"/>
      <c r="L35" s="41"/>
      <c r="M35" s="37"/>
    </row>
    <row r="36" spans="1:13" ht="36.75" hidden="1" customHeight="1" x14ac:dyDescent="0.25">
      <c r="A36" s="25" t="s">
        <v>58</v>
      </c>
      <c r="B36" s="68"/>
      <c r="C36" s="43">
        <v>0.2</v>
      </c>
      <c r="D36" s="43">
        <v>0.2</v>
      </c>
      <c r="E36" s="43">
        <v>0.2</v>
      </c>
      <c r="F36" s="43"/>
      <c r="G36" s="43"/>
      <c r="H36" s="43"/>
      <c r="I36" s="41"/>
      <c r="J36" s="42"/>
      <c r="K36" s="41"/>
      <c r="L36" s="41"/>
      <c r="M36" s="37"/>
    </row>
    <row r="37" spans="1:13" ht="37.5" hidden="1" customHeight="1" x14ac:dyDescent="0.25">
      <c r="A37" s="25" t="s">
        <v>59</v>
      </c>
      <c r="B37" s="69"/>
      <c r="C37" s="41">
        <f>C34+C35</f>
        <v>0</v>
      </c>
      <c r="D37" s="41">
        <f>D34+D35</f>
        <v>0</v>
      </c>
      <c r="E37" s="41">
        <f>E34+E35</f>
        <v>0</v>
      </c>
      <c r="F37" s="41">
        <f>C37*C32</f>
        <v>0</v>
      </c>
      <c r="G37" s="41">
        <f>D37*C32</f>
        <v>0</v>
      </c>
      <c r="H37" s="41">
        <f>E37*C32</f>
        <v>0</v>
      </c>
      <c r="I37" s="41">
        <f>ROUND((C37+D37+E37)/3,2)</f>
        <v>0</v>
      </c>
      <c r="J37" s="42" t="e">
        <f>_xlfn.STDEV.S(C37,D37,E37)/L37*100</f>
        <v>#DIV/0!</v>
      </c>
      <c r="K37" s="41" t="e">
        <f>((E37*100/C37)-100)</f>
        <v>#DIV/0!</v>
      </c>
      <c r="L37" s="41">
        <f>L34*1.2</f>
        <v>0</v>
      </c>
      <c r="M37" s="33" t="s">
        <v>51</v>
      </c>
    </row>
    <row r="38" spans="1:13" ht="16.5" customHeight="1" x14ac:dyDescent="0.25">
      <c r="A38" s="26"/>
      <c r="B38" s="26"/>
      <c r="C38" s="37"/>
      <c r="D38" s="37"/>
      <c r="E38" s="37"/>
      <c r="F38" s="45"/>
      <c r="G38" s="45"/>
      <c r="H38" s="45"/>
      <c r="I38" s="45"/>
      <c r="J38" s="45"/>
      <c r="K38" s="45"/>
      <c r="L38" s="37"/>
      <c r="M38" s="37"/>
    </row>
    <row r="39" spans="1:13" ht="60" x14ac:dyDescent="0.25">
      <c r="A39" s="25" t="s">
        <v>61</v>
      </c>
      <c r="B39" s="25"/>
      <c r="C39" s="41">
        <f>C13*C11</f>
        <v>165811.79999999999</v>
      </c>
      <c r="D39" s="41">
        <f>D13*C11</f>
        <v>177655.5</v>
      </c>
      <c r="E39" s="41">
        <f>E13*C11</f>
        <v>194882.7</v>
      </c>
      <c r="F39" s="41"/>
      <c r="G39" s="41"/>
      <c r="H39" s="41"/>
      <c r="I39" s="41">
        <f>L39</f>
        <v>179485.89</v>
      </c>
      <c r="J39" s="42">
        <f>_xlfn.STDEV.S(C39,D39,E39)/L39*100</f>
        <v>8.1445358300000006</v>
      </c>
      <c r="K39" s="41">
        <f>((E39*100/C39)-100)</f>
        <v>17.53</v>
      </c>
      <c r="L39" s="41">
        <f>I13*C11</f>
        <v>179485.89</v>
      </c>
      <c r="M39" s="33" t="s">
        <v>51</v>
      </c>
    </row>
    <row r="40" spans="1:13" x14ac:dyDescent="0.25">
      <c r="A40" s="25" t="s">
        <v>57</v>
      </c>
      <c r="B40" s="25"/>
      <c r="C40" s="41">
        <f>C39*0.2</f>
        <v>33162.36</v>
      </c>
      <c r="D40" s="41">
        <f t="shared" ref="D40:E40" si="0">D39*0.2</f>
        <v>35531.1</v>
      </c>
      <c r="E40" s="41">
        <f t="shared" si="0"/>
        <v>38976.54</v>
      </c>
      <c r="F40" s="41"/>
      <c r="G40" s="41"/>
      <c r="H40" s="41"/>
      <c r="I40" s="41">
        <f>L40</f>
        <v>35897.18</v>
      </c>
      <c r="J40" s="41"/>
      <c r="K40" s="41"/>
      <c r="L40" s="41">
        <f>L39*0.2</f>
        <v>35897.18</v>
      </c>
      <c r="M40" s="33" t="s">
        <v>51</v>
      </c>
    </row>
    <row r="41" spans="1:13" ht="30" x14ac:dyDescent="0.25">
      <c r="A41" s="25" t="s">
        <v>62</v>
      </c>
      <c r="B41" s="25"/>
      <c r="C41" s="43">
        <v>0.2</v>
      </c>
      <c r="D41" s="43">
        <v>0.2</v>
      </c>
      <c r="E41" s="43">
        <v>0.2</v>
      </c>
      <c r="F41" s="46"/>
      <c r="G41" s="46"/>
      <c r="H41" s="46"/>
      <c r="I41" s="43">
        <v>0.2</v>
      </c>
      <c r="J41" s="45"/>
      <c r="K41" s="45"/>
      <c r="L41" s="43">
        <v>0.2</v>
      </c>
      <c r="M41" s="33" t="s">
        <v>51</v>
      </c>
    </row>
    <row r="42" spans="1:13" ht="60" x14ac:dyDescent="0.25">
      <c r="A42" s="25" t="s">
        <v>63</v>
      </c>
      <c r="B42" s="25"/>
      <c r="C42" s="41">
        <f>C39+C40</f>
        <v>198974.16</v>
      </c>
      <c r="D42" s="51">
        <f>D39+D40</f>
        <v>213186.6</v>
      </c>
      <c r="E42" s="51">
        <f>E39+E40</f>
        <v>233859.24</v>
      </c>
      <c r="F42" s="41"/>
      <c r="G42" s="41"/>
      <c r="H42" s="41"/>
      <c r="I42" s="41">
        <f>L42</f>
        <v>215340</v>
      </c>
      <c r="J42" s="42">
        <f>_xlfn.STDEV.S(C42,D42,E42)/L42*100</f>
        <v>8.1461647399999997</v>
      </c>
      <c r="K42" s="41">
        <f>((E42*100/C42)-100)</f>
        <v>17.53</v>
      </c>
      <c r="L42" s="41">
        <f>I16*C11</f>
        <v>215340</v>
      </c>
      <c r="M42" s="33" t="s">
        <v>51</v>
      </c>
    </row>
    <row r="43" spans="1:13" x14ac:dyDescent="0.25">
      <c r="A43" s="27" t="s">
        <v>64</v>
      </c>
      <c r="B43" s="27"/>
      <c r="C43" s="47">
        <v>45985</v>
      </c>
      <c r="D43" s="47">
        <v>45986</v>
      </c>
      <c r="E43" s="47">
        <v>45986</v>
      </c>
      <c r="F43" s="47"/>
      <c r="G43" s="47"/>
      <c r="H43" s="47"/>
      <c r="I43" s="48"/>
      <c r="J43" s="48"/>
      <c r="K43" s="48"/>
      <c r="L43" s="48"/>
      <c r="M43" s="48"/>
    </row>
    <row r="44" spans="1:13" x14ac:dyDescent="0.25">
      <c r="A44" s="27" t="s">
        <v>65</v>
      </c>
      <c r="B44" s="27"/>
      <c r="C44" s="47">
        <v>46022</v>
      </c>
      <c r="D44" s="47">
        <v>46022</v>
      </c>
      <c r="E44" s="47">
        <v>46022</v>
      </c>
      <c r="F44" s="47"/>
      <c r="G44" s="47"/>
      <c r="H44" s="47"/>
      <c r="I44" s="48"/>
      <c r="J44" s="48"/>
      <c r="K44" s="48"/>
      <c r="L44" s="48"/>
      <c r="M44" s="48"/>
    </row>
    <row r="45" spans="1:13" ht="51.75" customHeight="1" x14ac:dyDescent="0.25">
      <c r="A45" s="77"/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</row>
    <row r="46" spans="1:13" ht="31.5" customHeight="1" x14ac:dyDescent="0.25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</row>
    <row r="47" spans="1:13" x14ac:dyDescent="0.25">
      <c r="A47" s="23"/>
      <c r="B47" s="23"/>
      <c r="C47" s="30"/>
      <c r="D47" s="30"/>
      <c r="E47" s="30"/>
      <c r="F47" s="30"/>
      <c r="G47" s="30"/>
      <c r="H47" s="30"/>
    </row>
    <row r="48" spans="1:13" x14ac:dyDescent="0.25">
      <c r="A48" s="52"/>
      <c r="B48" s="52"/>
      <c r="C48" s="52"/>
      <c r="D48" s="49"/>
      <c r="E48" s="49"/>
      <c r="F48" s="49"/>
      <c r="G48" s="49"/>
      <c r="H48" s="49"/>
      <c r="I48" s="49"/>
      <c r="L48" s="50"/>
    </row>
    <row r="49" spans="1:13" x14ac:dyDescent="0.25">
      <c r="A49" s="28"/>
      <c r="B49" s="28"/>
      <c r="C49" s="49"/>
      <c r="D49" s="49"/>
      <c r="E49" s="49"/>
      <c r="F49" s="49"/>
      <c r="G49" s="49"/>
      <c r="H49" s="49"/>
      <c r="I49" s="49"/>
      <c r="J49" s="50"/>
    </row>
    <row r="50" spans="1:13" x14ac:dyDescent="0.25">
      <c r="A50" s="78"/>
      <c r="B50" s="78"/>
      <c r="C50" s="78"/>
      <c r="D50" s="78"/>
      <c r="E50" s="78"/>
      <c r="F50" s="78"/>
      <c r="G50" s="78"/>
      <c r="H50" s="78"/>
      <c r="I50" s="78"/>
      <c r="J50" s="78"/>
    </row>
    <row r="55" spans="1:13" ht="42" customHeight="1" x14ac:dyDescent="0.25">
      <c r="A55" s="29"/>
      <c r="B55" s="29"/>
      <c r="E55" s="21"/>
      <c r="F55" s="21"/>
      <c r="G55" s="21"/>
      <c r="H55" s="21"/>
      <c r="I55" s="21"/>
      <c r="J55" s="21"/>
      <c r="K55" s="21"/>
      <c r="L55" s="21"/>
      <c r="M55" s="21"/>
    </row>
    <row r="56" spans="1:13" x14ac:dyDescent="0.25">
      <c r="A56" s="29"/>
      <c r="B56" s="29"/>
      <c r="E56" s="21"/>
      <c r="F56" s="21"/>
      <c r="G56" s="21"/>
      <c r="H56" s="21"/>
      <c r="I56" s="21"/>
      <c r="J56" s="21"/>
      <c r="K56" s="21"/>
      <c r="L56" s="21"/>
      <c r="M56" s="21"/>
    </row>
    <row r="57" spans="1:13" x14ac:dyDescent="0.25">
      <c r="A57" s="29"/>
      <c r="B57" s="29"/>
      <c r="E57" s="21"/>
      <c r="F57" s="21"/>
      <c r="G57" s="21"/>
      <c r="H57" s="21"/>
      <c r="I57" s="21"/>
      <c r="J57" s="21"/>
      <c r="K57" s="21"/>
      <c r="L57" s="21"/>
      <c r="M57" s="21"/>
    </row>
    <row r="58" spans="1:13" x14ac:dyDescent="0.25">
      <c r="A58" s="29"/>
      <c r="B58" s="29"/>
      <c r="E58" s="21"/>
      <c r="F58" s="21"/>
      <c r="G58" s="21"/>
      <c r="H58" s="21"/>
      <c r="I58" s="21"/>
      <c r="J58" s="21"/>
      <c r="K58" s="21"/>
      <c r="L58" s="21"/>
      <c r="M58" s="21"/>
    </row>
    <row r="59" spans="1:13" x14ac:dyDescent="0.25">
      <c r="A59" s="29"/>
      <c r="B59" s="29"/>
      <c r="E59" s="21"/>
      <c r="F59" s="21"/>
      <c r="G59" s="21"/>
      <c r="H59" s="21"/>
      <c r="I59" s="21"/>
      <c r="J59" s="21"/>
      <c r="K59" s="21"/>
      <c r="L59" s="21"/>
      <c r="M59" s="21"/>
    </row>
    <row r="60" spans="1:13" x14ac:dyDescent="0.25">
      <c r="A60" s="29"/>
      <c r="B60" s="29"/>
      <c r="E60" s="21"/>
      <c r="F60" s="21"/>
      <c r="G60" s="21"/>
      <c r="H60" s="21"/>
      <c r="I60" s="21"/>
      <c r="J60" s="21"/>
      <c r="K60" s="21"/>
      <c r="L60" s="21"/>
      <c r="M60" s="21"/>
    </row>
    <row r="61" spans="1:13" x14ac:dyDescent="0.25">
      <c r="A61" s="29"/>
      <c r="B61" s="29"/>
      <c r="E61" s="21"/>
      <c r="F61" s="21"/>
      <c r="G61" s="21"/>
      <c r="H61" s="21"/>
      <c r="I61" s="21"/>
      <c r="J61" s="21"/>
      <c r="K61" s="21"/>
      <c r="L61" s="21"/>
      <c r="M61" s="21"/>
    </row>
    <row r="62" spans="1:13" x14ac:dyDescent="0.25">
      <c r="A62" s="29"/>
      <c r="B62" s="29"/>
      <c r="E62" s="21"/>
      <c r="F62" s="21"/>
      <c r="G62" s="21"/>
      <c r="H62" s="21"/>
      <c r="I62" s="21"/>
      <c r="J62" s="21"/>
      <c r="K62" s="21"/>
      <c r="L62" s="21"/>
      <c r="M62" s="21"/>
    </row>
    <row r="63" spans="1:13" x14ac:dyDescent="0.25">
      <c r="A63" s="29"/>
      <c r="B63" s="29"/>
      <c r="E63" s="21"/>
      <c r="F63" s="21"/>
      <c r="G63" s="21"/>
      <c r="H63" s="21"/>
      <c r="I63" s="21"/>
      <c r="J63" s="21"/>
      <c r="K63" s="21"/>
      <c r="L63" s="21"/>
      <c r="M63" s="21"/>
    </row>
    <row r="64" spans="1:13" x14ac:dyDescent="0.25">
      <c r="A64" s="29"/>
      <c r="B64" s="29"/>
      <c r="E64" s="21"/>
      <c r="F64" s="21"/>
      <c r="G64" s="21"/>
      <c r="H64" s="21"/>
      <c r="I64" s="21"/>
      <c r="J64" s="21"/>
      <c r="K64" s="21"/>
      <c r="L64" s="21"/>
      <c r="M64" s="21"/>
    </row>
    <row r="65" spans="1:13" x14ac:dyDescent="0.25">
      <c r="A65" s="29"/>
      <c r="B65" s="29"/>
      <c r="E65" s="21"/>
      <c r="F65" s="21"/>
      <c r="G65" s="21"/>
      <c r="H65" s="21"/>
      <c r="I65" s="21"/>
      <c r="J65" s="21"/>
      <c r="K65" s="21"/>
      <c r="L65" s="21"/>
      <c r="M65" s="21"/>
    </row>
  </sheetData>
  <mergeCells count="29">
    <mergeCell ref="A45:M45"/>
    <mergeCell ref="A46:M46"/>
    <mergeCell ref="A48:C48"/>
    <mergeCell ref="A50:J50"/>
    <mergeCell ref="B24:B30"/>
    <mergeCell ref="C24:E24"/>
    <mergeCell ref="C25:E25"/>
    <mergeCell ref="C26:E26"/>
    <mergeCell ref="B31:B37"/>
    <mergeCell ref="C31:E31"/>
    <mergeCell ref="C32:E32"/>
    <mergeCell ref="C33:E33"/>
    <mergeCell ref="B10:B16"/>
    <mergeCell ref="C10:E10"/>
    <mergeCell ref="C11:E11"/>
    <mergeCell ref="C12:E12"/>
    <mergeCell ref="B17:B23"/>
    <mergeCell ref="C17:E17"/>
    <mergeCell ref="C18:E18"/>
    <mergeCell ref="C19:E19"/>
    <mergeCell ref="A2:M2"/>
    <mergeCell ref="A4:M4"/>
    <mergeCell ref="A6:A7"/>
    <mergeCell ref="B6:B7"/>
    <mergeCell ref="C6:E7"/>
    <mergeCell ref="I6:I7"/>
    <mergeCell ref="J6:K6"/>
    <mergeCell ref="L6:L7"/>
    <mergeCell ref="M6:M7"/>
  </mergeCells>
  <pageMargins left="0.25" right="0.25" top="0.75" bottom="0.75" header="0.3" footer="0.3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Анализ </vt:lpstr>
      <vt:lpstr>Расчет</vt:lpstr>
      <vt:lpstr>'Анализ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2025-12-18T16:55:07Z</dcterms:modified>
</cp:coreProperties>
</file>